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75" windowWidth="13545" windowHeight="801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D11" i="1"/>
  <c r="B16"/>
  <c r="B17"/>
  <c r="B18"/>
  <c r="B19"/>
  <c r="B21"/>
  <c r="B22"/>
  <c r="A27"/>
  <c r="B27"/>
  <c r="C27"/>
  <c r="D27"/>
  <c r="E27"/>
  <c r="F27"/>
  <c r="G27"/>
  <c r="H27"/>
  <c r="I27"/>
  <c r="A28"/>
  <c r="B28"/>
  <c r="C28"/>
  <c r="D28"/>
  <c r="E28"/>
  <c r="F28"/>
  <c r="G28"/>
  <c r="H28"/>
  <c r="I28"/>
  <c r="A29"/>
  <c r="B29"/>
  <c r="C29"/>
  <c r="D29"/>
  <c r="E29"/>
  <c r="F29"/>
  <c r="G29"/>
  <c r="H29"/>
  <c r="I29"/>
  <c r="A30"/>
  <c r="B30"/>
  <c r="C30"/>
  <c r="D30"/>
  <c r="E30"/>
  <c r="F30"/>
  <c r="G30"/>
  <c r="H30"/>
  <c r="I30"/>
  <c r="A31"/>
  <c r="B31"/>
  <c r="C31"/>
  <c r="D31"/>
  <c r="E31"/>
  <c r="F31"/>
  <c r="G31"/>
  <c r="H31"/>
  <c r="I31"/>
  <c r="A32"/>
  <c r="B32"/>
  <c r="C32"/>
  <c r="D32"/>
  <c r="E32"/>
  <c r="F32"/>
  <c r="G32"/>
  <c r="H32"/>
  <c r="I32"/>
  <c r="A33"/>
  <c r="B33"/>
  <c r="C33"/>
  <c r="D33"/>
  <c r="E33"/>
  <c r="F33"/>
  <c r="G33"/>
  <c r="H33"/>
  <c r="I33"/>
  <c r="A34"/>
  <c r="B34"/>
  <c r="C34"/>
  <c r="D34"/>
  <c r="E34"/>
  <c r="F34"/>
  <c r="G34"/>
  <c r="H34"/>
  <c r="I34"/>
  <c r="A35"/>
  <c r="B35"/>
  <c r="C35"/>
  <c r="D35"/>
  <c r="E35"/>
  <c r="F35"/>
  <c r="G35"/>
  <c r="H35"/>
  <c r="I35"/>
  <c r="A36"/>
  <c r="B36"/>
  <c r="C36"/>
  <c r="D36"/>
  <c r="E36"/>
  <c r="F36"/>
  <c r="G36"/>
  <c r="H36"/>
  <c r="I36"/>
  <c r="A37"/>
  <c r="B37"/>
  <c r="C37"/>
  <c r="D37"/>
  <c r="E37"/>
  <c r="F37"/>
  <c r="G37"/>
  <c r="H37"/>
  <c r="I37"/>
  <c r="A38"/>
  <c r="B38"/>
  <c r="C38"/>
  <c r="D38"/>
  <c r="E38"/>
  <c r="F38"/>
  <c r="G38"/>
  <c r="H38"/>
  <c r="I38"/>
  <c r="A39"/>
  <c r="B39"/>
  <c r="C39"/>
  <c r="D39"/>
  <c r="E39"/>
  <c r="F39"/>
  <c r="G39"/>
  <c r="H39"/>
  <c r="I39"/>
  <c r="A40"/>
  <c r="B40"/>
  <c r="C40"/>
  <c r="D40"/>
  <c r="E40"/>
  <c r="F40"/>
  <c r="G40"/>
  <c r="H40"/>
  <c r="I40"/>
  <c r="A41"/>
  <c r="B41"/>
  <c r="C41"/>
  <c r="D41"/>
  <c r="E41"/>
  <c r="F41"/>
  <c r="G41"/>
  <c r="H41"/>
  <c r="I41"/>
  <c r="A42"/>
  <c r="B42"/>
  <c r="C42"/>
  <c r="D42"/>
  <c r="E42"/>
  <c r="F42"/>
  <c r="G42"/>
  <c r="H42"/>
  <c r="I42"/>
  <c r="A43"/>
  <c r="B43"/>
  <c r="C43"/>
  <c r="D43"/>
  <c r="E43"/>
  <c r="F43"/>
  <c r="G43"/>
  <c r="H43"/>
  <c r="I43"/>
  <c r="A44"/>
  <c r="B44"/>
  <c r="C44"/>
  <c r="D44"/>
  <c r="E44"/>
  <c r="F44"/>
  <c r="G44"/>
  <c r="H44"/>
  <c r="I44"/>
  <c r="A45"/>
  <c r="B45"/>
  <c r="C45"/>
  <c r="D45"/>
  <c r="E45"/>
  <c r="F45"/>
  <c r="G45"/>
  <c r="H45"/>
  <c r="I45"/>
  <c r="A46"/>
  <c r="B46"/>
  <c r="C46"/>
  <c r="D46"/>
  <c r="E46"/>
  <c r="F46"/>
  <c r="G46"/>
  <c r="H46"/>
  <c r="I46"/>
  <c r="A47"/>
  <c r="B47"/>
  <c r="C47"/>
  <c r="D47"/>
  <c r="E47"/>
  <c r="F47"/>
  <c r="G47"/>
  <c r="H47"/>
  <c r="I47"/>
  <c r="A48"/>
  <c r="B48"/>
  <c r="C48"/>
  <c r="D48"/>
  <c r="E48"/>
  <c r="F48"/>
  <c r="G48"/>
  <c r="H48"/>
  <c r="I48"/>
  <c r="A49"/>
  <c r="B49"/>
  <c r="C49"/>
  <c r="D49"/>
  <c r="E49"/>
  <c r="F49"/>
  <c r="G49"/>
  <c r="H49"/>
  <c r="I49"/>
  <c r="A50"/>
  <c r="B50"/>
  <c r="C50"/>
  <c r="D50"/>
  <c r="E50"/>
  <c r="F50"/>
  <c r="G50"/>
  <c r="H50"/>
  <c r="I50"/>
  <c r="A51"/>
  <c r="B51"/>
  <c r="C51"/>
  <c r="D51"/>
  <c r="E51"/>
  <c r="F51"/>
  <c r="G51"/>
  <c r="H51"/>
  <c r="I51"/>
  <c r="A52"/>
  <c r="B52"/>
  <c r="C52"/>
  <c r="D52"/>
  <c r="E52"/>
  <c r="F52"/>
  <c r="G52"/>
  <c r="H52"/>
  <c r="I52"/>
  <c r="A53"/>
  <c r="B53"/>
  <c r="C53"/>
  <c r="D53"/>
  <c r="E53"/>
  <c r="F53"/>
  <c r="G53"/>
  <c r="H53"/>
  <c r="I53"/>
  <c r="A54"/>
  <c r="B54"/>
  <c r="C54"/>
  <c r="D54"/>
  <c r="E54"/>
  <c r="F54"/>
  <c r="G54"/>
  <c r="H54"/>
  <c r="I54"/>
  <c r="A55"/>
  <c r="B55"/>
  <c r="C55"/>
  <c r="D55"/>
  <c r="E55"/>
  <c r="F55"/>
  <c r="G55"/>
  <c r="H55"/>
  <c r="I55"/>
  <c r="B92"/>
  <c r="A98"/>
  <c r="B98"/>
  <c r="C98"/>
  <c r="D98"/>
  <c r="E98"/>
  <c r="F98"/>
  <c r="G98"/>
  <c r="H98"/>
  <c r="I98"/>
  <c r="A99"/>
  <c r="B99"/>
  <c r="C99"/>
  <c r="D99"/>
  <c r="E99"/>
  <c r="F99"/>
  <c r="G99"/>
  <c r="H99"/>
  <c r="I99"/>
  <c r="A100"/>
  <c r="B100"/>
  <c r="C100"/>
  <c r="D100"/>
  <c r="E100"/>
  <c r="F100"/>
  <c r="G100"/>
  <c r="H100"/>
  <c r="I100"/>
  <c r="A101"/>
  <c r="B101"/>
  <c r="C101"/>
  <c r="D101"/>
  <c r="E101"/>
  <c r="F101"/>
  <c r="G101"/>
  <c r="H101"/>
  <c r="I101"/>
  <c r="A102"/>
  <c r="B102"/>
  <c r="C102"/>
  <c r="D102"/>
  <c r="E102"/>
  <c r="F102"/>
  <c r="G102"/>
  <c r="H102"/>
  <c r="I102"/>
  <c r="A103"/>
  <c r="B103"/>
  <c r="C103"/>
  <c r="D103"/>
  <c r="E103"/>
  <c r="F103"/>
  <c r="G103"/>
  <c r="H103"/>
  <c r="I103"/>
  <c r="A104"/>
  <c r="B104"/>
  <c r="C104"/>
  <c r="D104"/>
  <c r="E104"/>
  <c r="F104"/>
  <c r="G104"/>
  <c r="H104"/>
  <c r="I104"/>
  <c r="A105"/>
  <c r="B105"/>
  <c r="C105"/>
  <c r="D105"/>
  <c r="E105"/>
  <c r="F105"/>
  <c r="G105"/>
  <c r="H105"/>
  <c r="I105"/>
  <c r="A106"/>
  <c r="B106"/>
  <c r="C106"/>
  <c r="D106"/>
  <c r="E106"/>
  <c r="F106"/>
  <c r="G106"/>
  <c r="H106"/>
  <c r="I106"/>
  <c r="A107"/>
  <c r="B107"/>
  <c r="C107"/>
  <c r="D107"/>
  <c r="E107"/>
  <c r="F107"/>
  <c r="G107"/>
  <c r="H107"/>
  <c r="I107"/>
  <c r="A108"/>
  <c r="B108"/>
  <c r="C108"/>
  <c r="D108"/>
  <c r="E108"/>
  <c r="F108"/>
  <c r="G108"/>
  <c r="H108"/>
  <c r="I108"/>
</calcChain>
</file>

<file path=xl/sharedStrings.xml><?xml version="1.0" encoding="utf-8"?>
<sst xmlns="http://schemas.openxmlformats.org/spreadsheetml/2006/main" count="68" uniqueCount="43">
  <si>
    <t>Eingabe:</t>
  </si>
  <si>
    <t>lges</t>
  </si>
  <si>
    <t>fo1</t>
  </si>
  <si>
    <t>fo2</t>
  </si>
  <si>
    <t>d</t>
  </si>
  <si>
    <t>m</t>
  </si>
  <si>
    <t>MHz</t>
  </si>
  <si>
    <t>mm</t>
  </si>
  <si>
    <t>Berechnung:</t>
  </si>
  <si>
    <t>Lambda 1</t>
  </si>
  <si>
    <t>Lambda 2</t>
  </si>
  <si>
    <t>Geschätzte Länge für lo</t>
  </si>
  <si>
    <t>lo'</t>
  </si>
  <si>
    <t>Zmm (lo)</t>
  </si>
  <si>
    <t>Ohm</t>
  </si>
  <si>
    <t>v</t>
  </si>
  <si>
    <t>lo</t>
  </si>
  <si>
    <t>Verkürzungsfaktor</t>
  </si>
  <si>
    <t>l1+l2</t>
  </si>
  <si>
    <t>l1(x)</t>
  </si>
  <si>
    <t>l2(x)</t>
  </si>
  <si>
    <t>Zs1</t>
  </si>
  <si>
    <t>Zs2</t>
  </si>
  <si>
    <t>Zso1</t>
  </si>
  <si>
    <t>XL/fo1</t>
  </si>
  <si>
    <t>XL/fo2</t>
  </si>
  <si>
    <t>L(1)(µH</t>
  </si>
  <si>
    <t>L(2)µH</t>
  </si>
  <si>
    <t>niedrigere Frequenz</t>
  </si>
  <si>
    <t>höhere Frequenz</t>
  </si>
  <si>
    <t>gewünschter genauerer Bereich</t>
  </si>
  <si>
    <t>l1 von</t>
  </si>
  <si>
    <t>bis</t>
  </si>
  <si>
    <t>Differenz</t>
  </si>
  <si>
    <t>Eingabe nur in roten Feldern, alles andere wird berechnet!</t>
  </si>
  <si>
    <t>Ce</t>
  </si>
  <si>
    <t>pF</t>
  </si>
  <si>
    <t>Eigenkapazität der Spule</t>
  </si>
  <si>
    <t xml:space="preserve"> </t>
  </si>
  <si>
    <t>Berechnung aus Leitungstheorie mit Berücksichtigung der Eigenkapazität der Spule</t>
  </si>
  <si>
    <t>Der Wert "bis" darf nicht größer als l1+l2 sein (s. Zelle b20)</t>
  </si>
  <si>
    <t>Achtung für den näher untersuchten Bereich muß für "l1 von" ein Wert größer Null (aber beliebig klein) eingegeben werden!</t>
  </si>
  <si>
    <t>Ermittelt werden die Werte (lo, l1, l2, und L) für Zweibandbetrieb lt. Beschreibung im Funkamateur 07/2007</t>
  </si>
</sst>
</file>

<file path=xl/styles.xml><?xml version="1.0" encoding="utf-8"?>
<styleSheet xmlns="http://schemas.openxmlformats.org/spreadsheetml/2006/main">
  <numFmts count="1">
    <numFmt numFmtId="178" formatCode="0.0000"/>
  </numFmts>
  <fonts count="4">
    <font>
      <sz val="10"/>
      <name val="Arial"/>
    </font>
    <font>
      <b/>
      <sz val="12"/>
      <color indexed="10"/>
      <name val="Arial"/>
      <family val="2"/>
    </font>
    <font>
      <b/>
      <sz val="14"/>
      <color indexed="4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/>
    <xf numFmtId="0" fontId="2" fillId="0" borderId="0" xfId="0" applyFont="1"/>
    <xf numFmtId="0" fontId="0" fillId="2" borderId="1" xfId="0" applyFill="1" applyBorder="1" applyProtection="1">
      <protection locked="0"/>
    </xf>
    <xf numFmtId="2" fontId="0" fillId="0" borderId="0" xfId="0" applyNumberFormat="1"/>
    <xf numFmtId="2" fontId="0" fillId="2" borderId="1" xfId="0" applyNumberFormat="1" applyFill="1" applyBorder="1" applyProtection="1">
      <protection locked="0"/>
    </xf>
    <xf numFmtId="178" fontId="0" fillId="0" borderId="0" xfId="0" applyNumberFormat="1"/>
    <xf numFmtId="0" fontId="3" fillId="0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Zweibanddipol mit CWL-Traps</a:t>
            </a:r>
          </a:p>
        </c:rich>
      </c:tx>
      <c:layout>
        <c:manualLayout>
          <c:xMode val="edge"/>
          <c:yMode val="edge"/>
          <c:x val="0.27899686520376177"/>
          <c:y val="3.178487902190821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062695924764889"/>
          <c:y val="0.1858192927434634"/>
          <c:w val="0.58934169278996862"/>
          <c:h val="0.60880268280424199"/>
        </c:manualLayout>
      </c:layout>
      <c:scatterChart>
        <c:scatterStyle val="lineMarker"/>
        <c:ser>
          <c:idx val="0"/>
          <c:order val="0"/>
          <c:tx>
            <c:v>L bei fo1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Tabelle1!$A$27:$A$55</c:f>
              <c:numCache>
                <c:formatCode>0.0000</c:formatCode>
                <c:ptCount val="29"/>
                <c:pt idx="0">
                  <c:v>6.5432098765432128E-2</c:v>
                </c:pt>
                <c:pt idx="1">
                  <c:v>0.13086419753086426</c:v>
                </c:pt>
                <c:pt idx="2">
                  <c:v>0.19629629629629639</c:v>
                </c:pt>
                <c:pt idx="3">
                  <c:v>0.26172839506172851</c:v>
                </c:pt>
                <c:pt idx="4">
                  <c:v>0.32716049382716061</c:v>
                </c:pt>
                <c:pt idx="5">
                  <c:v>0.39259259259259277</c:v>
                </c:pt>
                <c:pt idx="6">
                  <c:v>0.45802469135802487</c:v>
                </c:pt>
                <c:pt idx="7">
                  <c:v>0.52345679012345703</c:v>
                </c:pt>
                <c:pt idx="8">
                  <c:v>0.58888888888888913</c:v>
                </c:pt>
                <c:pt idx="9">
                  <c:v>0.65432098765432123</c:v>
                </c:pt>
                <c:pt idx="10">
                  <c:v>0.71975308641975333</c:v>
                </c:pt>
                <c:pt idx="11">
                  <c:v>0.78518518518518554</c:v>
                </c:pt>
                <c:pt idx="12">
                  <c:v>0.85061728395061764</c:v>
                </c:pt>
                <c:pt idx="13">
                  <c:v>0.91604938271604974</c:v>
                </c:pt>
                <c:pt idx="14">
                  <c:v>0.98148148148148184</c:v>
                </c:pt>
                <c:pt idx="15">
                  <c:v>1.0469135802469141</c:v>
                </c:pt>
                <c:pt idx="16">
                  <c:v>1.112345679012346</c:v>
                </c:pt>
                <c:pt idx="17">
                  <c:v>1.1777777777777783</c:v>
                </c:pt>
                <c:pt idx="18">
                  <c:v>1.2432098765432102</c:v>
                </c:pt>
                <c:pt idx="19">
                  <c:v>1.3086419753086425</c:v>
                </c:pt>
                <c:pt idx="20">
                  <c:v>1.3740740740740744</c:v>
                </c:pt>
                <c:pt idx="21">
                  <c:v>1.4395061728395067</c:v>
                </c:pt>
                <c:pt idx="22">
                  <c:v>1.5049382716049389</c:v>
                </c:pt>
                <c:pt idx="23">
                  <c:v>1.5703703703703709</c:v>
                </c:pt>
                <c:pt idx="24">
                  <c:v>1.6358024691358031</c:v>
                </c:pt>
                <c:pt idx="25">
                  <c:v>1.7012345679012351</c:v>
                </c:pt>
                <c:pt idx="26">
                  <c:v>1.7666666666666673</c:v>
                </c:pt>
                <c:pt idx="27">
                  <c:v>1.8320987654320995</c:v>
                </c:pt>
                <c:pt idx="28">
                  <c:v>1.8975308641975315</c:v>
                </c:pt>
              </c:numCache>
            </c:numRef>
          </c:xVal>
          <c:yVal>
            <c:numRef>
              <c:f>Tabelle1!$H$27:$H$55</c:f>
              <c:numCache>
                <c:formatCode>0.0000</c:formatCode>
                <c:ptCount val="29"/>
                <c:pt idx="0">
                  <c:v>103.62402843757967</c:v>
                </c:pt>
                <c:pt idx="1">
                  <c:v>84.09165193330881</c:v>
                </c:pt>
                <c:pt idx="2">
                  <c:v>72.596813318982797</c:v>
                </c:pt>
                <c:pt idx="3">
                  <c:v>64.913003133757641</c:v>
                </c:pt>
                <c:pt idx="4">
                  <c:v>59.413278540810403</c:v>
                </c:pt>
                <c:pt idx="5">
                  <c:v>55.309515490870297</c:v>
                </c:pt>
                <c:pt idx="6">
                  <c:v>52.166924360772349</c:v>
                </c:pt>
                <c:pt idx="7">
                  <c:v>49.724398971257621</c:v>
                </c:pt>
                <c:pt idx="8">
                  <c:v>47.815662020015274</c:v>
                </c:pt>
                <c:pt idx="9">
                  <c:v>46.33044836077535</c:v>
                </c:pt>
                <c:pt idx="10">
                  <c:v>45.193759648598224</c:v>
                </c:pt>
                <c:pt idx="11">
                  <c:v>44.354094567890343</c:v>
                </c:pt>
                <c:pt idx="12">
                  <c:v>43.776496369657522</c:v>
                </c:pt>
                <c:pt idx="13">
                  <c:v>43.438372438576742</c:v>
                </c:pt>
                <c:pt idx="14">
                  <c:v>43.327029587105578</c:v>
                </c:pt>
                <c:pt idx="15">
                  <c:v>43.438372438576742</c:v>
                </c:pt>
                <c:pt idx="16">
                  <c:v>43.776496369657522</c:v>
                </c:pt>
                <c:pt idx="17">
                  <c:v>44.354094567890343</c:v>
                </c:pt>
                <c:pt idx="18">
                  <c:v>45.193759648598217</c:v>
                </c:pt>
                <c:pt idx="19">
                  <c:v>46.33044836077535</c:v>
                </c:pt>
                <c:pt idx="20">
                  <c:v>47.815662020015267</c:v>
                </c:pt>
                <c:pt idx="21">
                  <c:v>49.724398971257621</c:v>
                </c:pt>
                <c:pt idx="22">
                  <c:v>52.166924360772349</c:v>
                </c:pt>
                <c:pt idx="23">
                  <c:v>55.309515490870297</c:v>
                </c:pt>
                <c:pt idx="24">
                  <c:v>59.413278540810403</c:v>
                </c:pt>
                <c:pt idx="25">
                  <c:v>64.913003133757655</c:v>
                </c:pt>
                <c:pt idx="26">
                  <c:v>72.596813318982797</c:v>
                </c:pt>
                <c:pt idx="27">
                  <c:v>84.091651933308825</c:v>
                </c:pt>
                <c:pt idx="28">
                  <c:v>103.62402843757963</c:v>
                </c:pt>
              </c:numCache>
            </c:numRef>
          </c:yVal>
          <c:smooth val="1"/>
        </c:ser>
        <c:ser>
          <c:idx val="1"/>
          <c:order val="1"/>
          <c:tx>
            <c:v>L bei fo2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Tabelle1!$A$27:$A$55</c:f>
              <c:numCache>
                <c:formatCode>0.0000</c:formatCode>
                <c:ptCount val="29"/>
                <c:pt idx="0">
                  <c:v>6.5432098765432128E-2</c:v>
                </c:pt>
                <c:pt idx="1">
                  <c:v>0.13086419753086426</c:v>
                </c:pt>
                <c:pt idx="2">
                  <c:v>0.19629629629629639</c:v>
                </c:pt>
                <c:pt idx="3">
                  <c:v>0.26172839506172851</c:v>
                </c:pt>
                <c:pt idx="4">
                  <c:v>0.32716049382716061</c:v>
                </c:pt>
                <c:pt idx="5">
                  <c:v>0.39259259259259277</c:v>
                </c:pt>
                <c:pt idx="6">
                  <c:v>0.45802469135802487</c:v>
                </c:pt>
                <c:pt idx="7">
                  <c:v>0.52345679012345703</c:v>
                </c:pt>
                <c:pt idx="8">
                  <c:v>0.58888888888888913</c:v>
                </c:pt>
                <c:pt idx="9">
                  <c:v>0.65432098765432123</c:v>
                </c:pt>
                <c:pt idx="10">
                  <c:v>0.71975308641975333</c:v>
                </c:pt>
                <c:pt idx="11">
                  <c:v>0.78518518518518554</c:v>
                </c:pt>
                <c:pt idx="12">
                  <c:v>0.85061728395061764</c:v>
                </c:pt>
                <c:pt idx="13">
                  <c:v>0.91604938271604974</c:v>
                </c:pt>
                <c:pt idx="14">
                  <c:v>0.98148148148148184</c:v>
                </c:pt>
                <c:pt idx="15">
                  <c:v>1.0469135802469141</c:v>
                </c:pt>
                <c:pt idx="16">
                  <c:v>1.112345679012346</c:v>
                </c:pt>
                <c:pt idx="17">
                  <c:v>1.1777777777777783</c:v>
                </c:pt>
                <c:pt idx="18">
                  <c:v>1.2432098765432102</c:v>
                </c:pt>
                <c:pt idx="19">
                  <c:v>1.3086419753086425</c:v>
                </c:pt>
                <c:pt idx="20">
                  <c:v>1.3740740740740744</c:v>
                </c:pt>
                <c:pt idx="21">
                  <c:v>1.4395061728395067</c:v>
                </c:pt>
                <c:pt idx="22">
                  <c:v>1.5049382716049389</c:v>
                </c:pt>
                <c:pt idx="23">
                  <c:v>1.5703703703703709</c:v>
                </c:pt>
                <c:pt idx="24">
                  <c:v>1.6358024691358031</c:v>
                </c:pt>
                <c:pt idx="25">
                  <c:v>1.7012345679012351</c:v>
                </c:pt>
                <c:pt idx="26">
                  <c:v>1.7666666666666673</c:v>
                </c:pt>
                <c:pt idx="27">
                  <c:v>1.8320987654320995</c:v>
                </c:pt>
                <c:pt idx="28">
                  <c:v>1.8975308641975315</c:v>
                </c:pt>
              </c:numCache>
            </c:numRef>
          </c:xVal>
          <c:yVal>
            <c:numRef>
              <c:f>Tabelle1!$I$27:$I$55</c:f>
              <c:numCache>
                <c:formatCode>0.0000</c:formatCode>
                <c:ptCount val="29"/>
                <c:pt idx="0">
                  <c:v>13.90670628650717</c:v>
                </c:pt>
                <c:pt idx="1">
                  <c:v>14.506471601137012</c:v>
                </c:pt>
                <c:pt idx="2">
                  <c:v>15.156561879812825</c:v>
                </c:pt>
                <c:pt idx="3">
                  <c:v>15.862783321177188</c:v>
                </c:pt>
                <c:pt idx="4">
                  <c:v>16.631813678767426</c:v>
                </c:pt>
                <c:pt idx="5">
                  <c:v>17.471366867529159</c:v>
                </c:pt>
                <c:pt idx="6">
                  <c:v>18.390395739886177</c:v>
                </c:pt>
                <c:pt idx="7">
                  <c:v>19.399343704192074</c:v>
                </c:pt>
                <c:pt idx="8">
                  <c:v>20.510459407602365</c:v>
                </c:pt>
                <c:pt idx="9">
                  <c:v>21.738193643254181</c:v>
                </c:pt>
                <c:pt idx="10">
                  <c:v>23.099704601935734</c:v>
                </c:pt>
                <c:pt idx="11">
                  <c:v>24.615507540235463</c:v>
                </c:pt>
                <c:pt idx="12">
                  <c:v>26.310319389255842</c:v>
                </c:pt>
                <c:pt idx="13">
                  <c:v>28.214170176590748</c:v>
                </c:pt>
                <c:pt idx="14">
                  <c:v>30.363885269098212</c:v>
                </c:pt>
                <c:pt idx="15">
                  <c:v>32.805091833381198</c:v>
                </c:pt>
                <c:pt idx="16">
                  <c:v>35.594980603907466</c:v>
                </c:pt>
                <c:pt idx="17">
                  <c:v>38.806179494902949</c:v>
                </c:pt>
                <c:pt idx="18">
                  <c:v>42.532304208275782</c:v>
                </c:pt>
                <c:pt idx="19">
                  <c:v>46.896109803024693</c:v>
                </c:pt>
                <c:pt idx="20">
                  <c:v>52.061808801786704</c:v>
                </c:pt>
                <c:pt idx="21">
                  <c:v>58.254322031722566</c:v>
                </c:pt>
                <c:pt idx="22">
                  <c:v>65.790599591987799</c:v>
                </c:pt>
                <c:pt idx="23">
                  <c:v>75.133148434442731</c:v>
                </c:pt>
                <c:pt idx="24">
                  <c:v>86.987332859033828</c:v>
                </c:pt>
                <c:pt idx="25">
                  <c:v>102.49301863275733</c:v>
                </c:pt>
                <c:pt idx="26">
                  <c:v>123.64586466899929</c:v>
                </c:pt>
                <c:pt idx="27">
                  <c:v>154.38770793384512</c:v>
                </c:pt>
                <c:pt idx="28">
                  <c:v>204.35487482611498</c:v>
                </c:pt>
              </c:numCache>
            </c:numRef>
          </c:yVal>
          <c:smooth val="1"/>
        </c:ser>
        <c:axId val="80347136"/>
        <c:axId val="80349440"/>
      </c:scatterChart>
      <c:valAx>
        <c:axId val="8034713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Lage der Spule l</a:t>
                </a:r>
                <a:r>
                  <a:rPr lang="de-AT" sz="1200" b="1" i="0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1</a:t>
                </a:r>
                <a:r>
                  <a:rPr lang="de-AT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  [m]</a:t>
                </a:r>
              </a:p>
            </c:rich>
          </c:tx>
          <c:layout>
            <c:manualLayout>
              <c:xMode val="edge"/>
              <c:yMode val="edge"/>
              <c:x val="0.36520376175548591"/>
              <c:y val="0.88264164053145122"/>
            </c:manualLayout>
          </c:layout>
          <c:spPr>
            <a:noFill/>
            <a:ln w="25400">
              <a:noFill/>
            </a:ln>
          </c:spPr>
        </c:title>
        <c:numFmt formatCode="0.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349440"/>
        <c:crosses val="autoZero"/>
        <c:crossBetween val="midCat"/>
      </c:valAx>
      <c:valAx>
        <c:axId val="80349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Induktivität L(x) [µH]</a:t>
                </a:r>
              </a:p>
            </c:rich>
          </c:tx>
          <c:layout>
            <c:manualLayout>
              <c:xMode val="edge"/>
              <c:yMode val="edge"/>
              <c:x val="2.5078369905956112E-2"/>
              <c:y val="0.29584387397314571"/>
            </c:manualLayout>
          </c:layout>
          <c:spPr>
            <a:noFill/>
            <a:ln w="25400">
              <a:noFill/>
            </a:ln>
          </c:spPr>
        </c:title>
        <c:numFmt formatCode="0.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3471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952978056426331"/>
          <c:y val="0.43765333422473618"/>
          <c:w val="0.13793103448275862"/>
          <c:h val="0.105134599841696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Zweibanddipol mit CWL-Traps</a:t>
            </a:r>
          </a:p>
        </c:rich>
      </c:tx>
      <c:layout>
        <c:manualLayout>
          <c:xMode val="edge"/>
          <c:yMode val="edge"/>
          <c:x val="0.28081123244929795"/>
          <c:y val="3.19410319410319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564742589703589"/>
          <c:y val="0.18673218673218672"/>
          <c:w val="0.6365054602184087"/>
          <c:h val="0.60687960687960685"/>
        </c:manualLayout>
      </c:layout>
      <c:scatterChart>
        <c:scatterStyle val="lineMarker"/>
        <c:ser>
          <c:idx val="0"/>
          <c:order val="0"/>
          <c:tx>
            <c:v>L bei f1</c:v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Tabelle1!$A$98:$A$108</c:f>
              <c:numCache>
                <c:formatCode>General</c:formatCode>
                <c:ptCount val="11"/>
                <c:pt idx="0">
                  <c:v>1</c:v>
                </c:pt>
                <c:pt idx="1">
                  <c:v>1.05</c:v>
                </c:pt>
                <c:pt idx="2">
                  <c:v>1.1000000000000001</c:v>
                </c:pt>
                <c:pt idx="3">
                  <c:v>1.1500000000000001</c:v>
                </c:pt>
                <c:pt idx="4">
                  <c:v>1.2000000000000002</c:v>
                </c:pt>
                <c:pt idx="5">
                  <c:v>1.2500000000000002</c:v>
                </c:pt>
                <c:pt idx="6">
                  <c:v>1.3000000000000003</c:v>
                </c:pt>
                <c:pt idx="7">
                  <c:v>1.3500000000000003</c:v>
                </c:pt>
                <c:pt idx="8">
                  <c:v>1.4000000000000004</c:v>
                </c:pt>
                <c:pt idx="9">
                  <c:v>1.4500000000000004</c:v>
                </c:pt>
                <c:pt idx="10">
                  <c:v>1.5000000000000004</c:v>
                </c:pt>
              </c:numCache>
            </c:numRef>
          </c:xVal>
          <c:yVal>
            <c:numRef>
              <c:f>Tabelle1!$H$98:$H$108</c:f>
              <c:numCache>
                <c:formatCode>0.0000</c:formatCode>
                <c:ptCount val="11"/>
                <c:pt idx="0">
                  <c:v>43.335923283820101</c:v>
                </c:pt>
                <c:pt idx="1">
                  <c:v>43.449160017650705</c:v>
                </c:pt>
                <c:pt idx="2">
                  <c:v>43.694880388786814</c:v>
                </c:pt>
                <c:pt idx="3">
                  <c:v>44.078434889019455</c:v>
                </c:pt>
                <c:pt idx="4">
                  <c:v>44.608414024500519</c:v>
                </c:pt>
                <c:pt idx="5">
                  <c:v>45.297176789995923</c:v>
                </c:pt>
                <c:pt idx="6">
                  <c:v>46.161657551147826</c:v>
                </c:pt>
                <c:pt idx="7">
                  <c:v>47.224559363798122</c:v>
                </c:pt>
                <c:pt idx="8">
                  <c:v>48.516109673775205</c:v>
                </c:pt>
                <c:pt idx="9">
                  <c:v>50.076668536681048</c:v>
                </c:pt>
                <c:pt idx="10">
                  <c:v>51.960680635143802</c:v>
                </c:pt>
              </c:numCache>
            </c:numRef>
          </c:yVal>
          <c:smooth val="1"/>
        </c:ser>
        <c:ser>
          <c:idx val="1"/>
          <c:order val="1"/>
          <c:tx>
            <c:v>L bei f2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Tabelle1!$A$98:$A$108</c:f>
              <c:numCache>
                <c:formatCode>General</c:formatCode>
                <c:ptCount val="11"/>
                <c:pt idx="0">
                  <c:v>1</c:v>
                </c:pt>
                <c:pt idx="1">
                  <c:v>1.05</c:v>
                </c:pt>
                <c:pt idx="2">
                  <c:v>1.1000000000000001</c:v>
                </c:pt>
                <c:pt idx="3">
                  <c:v>1.1500000000000001</c:v>
                </c:pt>
                <c:pt idx="4">
                  <c:v>1.2000000000000002</c:v>
                </c:pt>
                <c:pt idx="5">
                  <c:v>1.2500000000000002</c:v>
                </c:pt>
                <c:pt idx="6">
                  <c:v>1.3000000000000003</c:v>
                </c:pt>
                <c:pt idx="7">
                  <c:v>1.3500000000000003</c:v>
                </c:pt>
                <c:pt idx="8">
                  <c:v>1.4000000000000004</c:v>
                </c:pt>
                <c:pt idx="9">
                  <c:v>1.4500000000000004</c:v>
                </c:pt>
                <c:pt idx="10">
                  <c:v>1.5000000000000004</c:v>
                </c:pt>
              </c:numCache>
            </c:numRef>
          </c:xVal>
          <c:yVal>
            <c:numRef>
              <c:f>Tabelle1!$I$98:$I$108</c:f>
              <c:numCache>
                <c:formatCode>0.0000</c:formatCode>
                <c:ptCount val="11"/>
                <c:pt idx="0">
                  <c:v>31.022979825310252</c:v>
                </c:pt>
                <c:pt idx="1">
                  <c:v>32.928351217672756</c:v>
                </c:pt>
                <c:pt idx="2">
                  <c:v>35.038791143372229</c:v>
                </c:pt>
                <c:pt idx="3">
                  <c:v>37.386025553299163</c:v>
                </c:pt>
                <c:pt idx="4">
                  <c:v>40.008468630510023</c:v>
                </c:pt>
                <c:pt idx="5">
                  <c:v>42.95307663866366</c:v>
                </c:pt>
                <c:pt idx="6">
                  <c:v>46.277860277633657</c:v>
                </c:pt>
                <c:pt idx="7">
                  <c:v>50.055349765126678</c:v>
                </c:pt>
                <c:pt idx="8">
                  <c:v>54.377470050338175</c:v>
                </c:pt>
                <c:pt idx="9">
                  <c:v>59.362558162144005</c:v>
                </c:pt>
                <c:pt idx="10">
                  <c:v>65.165733924829667</c:v>
                </c:pt>
              </c:numCache>
            </c:numRef>
          </c:yVal>
          <c:smooth val="1"/>
        </c:ser>
        <c:axId val="80390784"/>
        <c:axId val="80405632"/>
      </c:scatterChart>
      <c:valAx>
        <c:axId val="8039078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Lage der Spule l</a:t>
                </a:r>
                <a:r>
                  <a:rPr lang="de-AT" sz="1200" b="1" i="0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1</a:t>
                </a:r>
                <a:r>
                  <a:rPr lang="de-AT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  [m]</a:t>
                </a:r>
              </a:p>
            </c:rich>
          </c:tx>
          <c:layout>
            <c:manualLayout>
              <c:xMode val="edge"/>
              <c:yMode val="edge"/>
              <c:x val="0.37441497659906398"/>
              <c:y val="0.8820638820638820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405632"/>
        <c:crosses val="autoZero"/>
        <c:crossBetween val="midCat"/>
      </c:valAx>
      <c:valAx>
        <c:axId val="804056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Induktivität L [µH]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31941031941031939"/>
            </c:manualLayout>
          </c:layout>
          <c:spPr>
            <a:noFill/>
            <a:ln w="25400">
              <a:noFill/>
            </a:ln>
          </c:spPr>
        </c:title>
        <c:numFmt formatCode="0.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3907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15444617784709"/>
          <c:y val="0.43734643734643736"/>
          <c:w val="0.12636505460218408"/>
          <c:h val="0.105651105651105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4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58</xdr:row>
      <xdr:rowOff>76200</xdr:rowOff>
    </xdr:from>
    <xdr:to>
      <xdr:col>8</xdr:col>
      <xdr:colOff>733425</xdr:colOff>
      <xdr:row>82</xdr:row>
      <xdr:rowOff>85725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108</xdr:row>
      <xdr:rowOff>142875</xdr:rowOff>
    </xdr:from>
    <xdr:to>
      <xdr:col>9</xdr:col>
      <xdr:colOff>9525</xdr:colOff>
      <xdr:row>132</xdr:row>
      <xdr:rowOff>133350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8"/>
  <sheetViews>
    <sheetView tabSelected="1" workbookViewId="0">
      <selection activeCell="E5" sqref="E5"/>
    </sheetView>
  </sheetViews>
  <sheetFormatPr baseColWidth="10" defaultRowHeight="12.75"/>
  <sheetData>
    <row r="1" spans="1:9" ht="18">
      <c r="A1" s="2" t="s">
        <v>39</v>
      </c>
    </row>
    <row r="2" spans="1:9" ht="15.75">
      <c r="A2" s="1" t="s">
        <v>34</v>
      </c>
    </row>
    <row r="3" spans="1:9" ht="15.75">
      <c r="A3" s="1"/>
    </row>
    <row r="4" spans="1:9">
      <c r="A4" s="7" t="s">
        <v>42</v>
      </c>
    </row>
    <row r="5" spans="1:9" ht="15.75">
      <c r="A5" s="1"/>
    </row>
    <row r="7" spans="1:9" ht="13.5" thickBot="1">
      <c r="A7" t="s">
        <v>0</v>
      </c>
      <c r="H7" t="s">
        <v>38</v>
      </c>
    </row>
    <row r="8" spans="1:9" ht="13.5" thickBot="1">
      <c r="A8" t="s">
        <v>1</v>
      </c>
      <c r="B8" s="3">
        <v>9</v>
      </c>
      <c r="C8" t="s">
        <v>5</v>
      </c>
      <c r="I8" t="s">
        <v>38</v>
      </c>
    </row>
    <row r="9" spans="1:9" ht="13.5" thickBot="1">
      <c r="A9" t="s">
        <v>3</v>
      </c>
      <c r="B9" s="3">
        <v>7.01</v>
      </c>
      <c r="C9" t="s">
        <v>6</v>
      </c>
      <c r="E9" t="s">
        <v>28</v>
      </c>
      <c r="I9" t="s">
        <v>38</v>
      </c>
    </row>
    <row r="10" spans="1:9" ht="13.5" thickBot="1">
      <c r="A10" t="s">
        <v>2</v>
      </c>
      <c r="B10" s="3">
        <v>10.125</v>
      </c>
      <c r="C10" t="s">
        <v>6</v>
      </c>
      <c r="E10" t="s">
        <v>29</v>
      </c>
      <c r="I10" t="s">
        <v>38</v>
      </c>
    </row>
    <row r="11" spans="1:9" ht="13.5" thickBot="1">
      <c r="A11" t="s">
        <v>4</v>
      </c>
      <c r="B11" s="3">
        <v>2</v>
      </c>
      <c r="C11" t="s">
        <v>7</v>
      </c>
      <c r="D11">
        <f>B11/1000</f>
        <v>2E-3</v>
      </c>
      <c r="E11" t="s">
        <v>5</v>
      </c>
      <c r="I11" t="s">
        <v>38</v>
      </c>
    </row>
    <row r="12" spans="1:9" ht="13.5" thickBot="1">
      <c r="I12" t="s">
        <v>38</v>
      </c>
    </row>
    <row r="13" spans="1:9" ht="13.5" thickBot="1">
      <c r="A13" t="s">
        <v>35</v>
      </c>
      <c r="B13" s="3">
        <v>1.5</v>
      </c>
      <c r="C13" t="s">
        <v>36</v>
      </c>
      <c r="E13" t="s">
        <v>37</v>
      </c>
      <c r="I13" t="s">
        <v>38</v>
      </c>
    </row>
    <row r="15" spans="1:9">
      <c r="A15" t="s">
        <v>8</v>
      </c>
    </row>
    <row r="16" spans="1:9">
      <c r="A16" t="s">
        <v>10</v>
      </c>
      <c r="B16" s="4">
        <f>300/B9</f>
        <v>42.796005706134096</v>
      </c>
      <c r="C16" t="s">
        <v>5</v>
      </c>
    </row>
    <row r="17" spans="1:9">
      <c r="A17" t="s">
        <v>9</v>
      </c>
      <c r="B17" s="4">
        <f>300/B10</f>
        <v>29.62962962962963</v>
      </c>
      <c r="C17" t="s">
        <v>5</v>
      </c>
    </row>
    <row r="18" spans="1:9">
      <c r="A18" t="s">
        <v>12</v>
      </c>
      <c r="B18" s="4">
        <f>0.97*0.25*B17</f>
        <v>7.1851851851851851</v>
      </c>
      <c r="C18" t="s">
        <v>5</v>
      </c>
      <c r="D18" t="s">
        <v>11</v>
      </c>
    </row>
    <row r="19" spans="1:9" ht="13.5" thickBot="1">
      <c r="A19" t="s">
        <v>13</v>
      </c>
      <c r="B19" s="4">
        <f>60*(LN(4*B18/D11)-1)</f>
        <v>514.37542515606492</v>
      </c>
      <c r="C19" t="s">
        <v>14</v>
      </c>
    </row>
    <row r="20" spans="1:9" ht="13.5" thickBot="1">
      <c r="A20" t="s">
        <v>15</v>
      </c>
      <c r="B20" s="5">
        <v>0.95</v>
      </c>
      <c r="D20" t="s">
        <v>17</v>
      </c>
    </row>
    <row r="21" spans="1:9">
      <c r="A21" t="s">
        <v>16</v>
      </c>
      <c r="B21" s="4">
        <f>0.25*B17*B20</f>
        <v>7.0370370370370363</v>
      </c>
      <c r="C21" t="s">
        <v>5</v>
      </c>
    </row>
    <row r="22" spans="1:9">
      <c r="A22" t="s">
        <v>18</v>
      </c>
      <c r="B22" s="4">
        <f>B8-B21</f>
        <v>1.9629629629629637</v>
      </c>
      <c r="C22" t="s">
        <v>5</v>
      </c>
    </row>
    <row r="26" spans="1:9">
      <c r="A26" t="s">
        <v>19</v>
      </c>
      <c r="B26" t="s">
        <v>20</v>
      </c>
      <c r="C26" t="s">
        <v>21</v>
      </c>
      <c r="D26" t="s">
        <v>22</v>
      </c>
      <c r="E26" t="s">
        <v>23</v>
      </c>
      <c r="F26" t="s">
        <v>24</v>
      </c>
      <c r="G26" t="s">
        <v>25</v>
      </c>
      <c r="H26" t="s">
        <v>26</v>
      </c>
      <c r="I26" t="s">
        <v>27</v>
      </c>
    </row>
    <row r="27" spans="1:9">
      <c r="A27" s="6">
        <f>1/30*B22</f>
        <v>6.5432098765432128E-2</v>
      </c>
      <c r="B27" s="6">
        <f>$B$22-A27</f>
        <v>1.8975308641975315</v>
      </c>
      <c r="C27" s="6">
        <f>60*(LN(4*A27/$D$11)-1)</f>
        <v>232.44960752566323</v>
      </c>
      <c r="D27" s="6">
        <f>60*(LN(4*B27/$D$11)-1)</f>
        <v>434.48735732485164</v>
      </c>
      <c r="E27" s="6">
        <f>60*(LN(4*($B$21+A27)/$D$11)-1)</f>
        <v>513.68069692433346</v>
      </c>
      <c r="F27" s="6">
        <f>C27/(TAN(2*PI()*A27/$B$17))+D27/(TAN(2*PI()*B27/$B$17))</f>
        <v>17772.468315612652</v>
      </c>
      <c r="G27" s="6">
        <f>D27/(TAN(2*PI()*B27/$B$16))-E27*TAN(2*PI()*($B$21+A27)/$B$16)</f>
        <v>638.3556223080617</v>
      </c>
      <c r="H27" s="6">
        <f>F27/(2*PI()*$B$10)*(1/(1+2*PI()*$B$10*10^6*$B$13*10^-12*F27))</f>
        <v>103.62402843757967</v>
      </c>
      <c r="I27" s="6">
        <f>G27/(2*PI()*$B$9)*(1/(1+2*PI()*$B$9*10^6*$B$13*10^-12*G27))</f>
        <v>13.90670628650717</v>
      </c>
    </row>
    <row r="28" spans="1:9">
      <c r="A28" s="6">
        <f>2/30*B22</f>
        <v>0.13086419753086426</v>
      </c>
      <c r="B28" s="6">
        <f t="shared" ref="B28:B55" si="0">$B$22-A28</f>
        <v>1.8320987654320995</v>
      </c>
      <c r="C28" s="6">
        <f t="shared" ref="C28:C55" si="1">60*(LN(4*A28/$D$11)-1)</f>
        <v>274.03843835925994</v>
      </c>
      <c r="D28" s="6">
        <f t="shared" ref="D28:D55" si="2">60*(LN(4*B28/$D$11)-1)</f>
        <v>432.38187813617543</v>
      </c>
      <c r="E28" s="6">
        <f t="shared" ref="E28:E55" si="3">60*(LN(4*($B$21+A28)/$D$11)-1)</f>
        <v>514.23092138761046</v>
      </c>
      <c r="F28" s="6">
        <f t="shared" ref="F28:F55" si="4">C28/(TAN(2*PI()*A28/$B$17))+D28/(TAN(2*PI()*B28/$B$17))</f>
        <v>10928.818360909539</v>
      </c>
      <c r="G28" s="6">
        <f t="shared" ref="G28:G55" si="5">D28/(TAN(2*PI()*B28/$B$16))-E28*TAN(2*PI()*($B$21+A28)/$B$16)</f>
        <v>667.09986879992005</v>
      </c>
      <c r="H28" s="6">
        <f t="shared" ref="H28:H55" si="6">F28/(2*PI()*$B$10)*(1/(1+2*PI()*$B$10*10^6*$B$13*10^-12*F28))</f>
        <v>84.09165193330881</v>
      </c>
      <c r="I28" s="6">
        <f t="shared" ref="I28:I55" si="7">G28/(2*PI()*$B$9)*(1/(1+2*PI()*$B$9*10^6*$B$13*10^-12*G28))</f>
        <v>14.506471601137012</v>
      </c>
    </row>
    <row r="29" spans="1:9">
      <c r="A29" s="6">
        <f>3/30*B22</f>
        <v>0.19629629629629639</v>
      </c>
      <c r="B29" s="6">
        <f t="shared" si="0"/>
        <v>1.7666666666666673</v>
      </c>
      <c r="C29" s="6">
        <f t="shared" si="1"/>
        <v>298.36634484574978</v>
      </c>
      <c r="D29" s="6">
        <f t="shared" si="2"/>
        <v>430.19981948592294</v>
      </c>
      <c r="E29" s="6">
        <f t="shared" si="3"/>
        <v>514.77614588522317</v>
      </c>
      <c r="F29" s="6">
        <f t="shared" si="4"/>
        <v>8257.7152763591257</v>
      </c>
      <c r="G29" s="6">
        <f t="shared" si="5"/>
        <v>698.37452472238431</v>
      </c>
      <c r="H29" s="6">
        <f t="shared" si="6"/>
        <v>72.596813318982797</v>
      </c>
      <c r="I29" s="6">
        <f t="shared" si="7"/>
        <v>15.156561879812825</v>
      </c>
    </row>
    <row r="30" spans="1:9">
      <c r="A30" s="6">
        <f>4/30*B22</f>
        <v>0.26172839506172851</v>
      </c>
      <c r="B30" s="6">
        <f t="shared" si="0"/>
        <v>1.7012345679012353</v>
      </c>
      <c r="C30" s="6">
        <f t="shared" si="1"/>
        <v>315.62726919285666</v>
      </c>
      <c r="D30" s="6">
        <f t="shared" si="2"/>
        <v>427.9353998069522</v>
      </c>
      <c r="E30" s="6">
        <f t="shared" si="3"/>
        <v>515.31646047021809</v>
      </c>
      <c r="F30" s="6">
        <f t="shared" si="4"/>
        <v>6815.2807101517537</v>
      </c>
      <c r="G30" s="6">
        <f t="shared" si="5"/>
        <v>732.49013071329261</v>
      </c>
      <c r="H30" s="6">
        <f t="shared" si="6"/>
        <v>64.913003133757641</v>
      </c>
      <c r="I30" s="6">
        <f t="shared" si="7"/>
        <v>15.862783321177188</v>
      </c>
    </row>
    <row r="31" spans="1:9">
      <c r="A31" s="6">
        <f>5/30*B22</f>
        <v>0.32716049382716061</v>
      </c>
      <c r="B31" s="6">
        <f t="shared" si="0"/>
        <v>1.6358024691358031</v>
      </c>
      <c r="C31" s="6">
        <f t="shared" si="1"/>
        <v>329.01588227170919</v>
      </c>
      <c r="D31" s="6">
        <f t="shared" si="2"/>
        <v>425.58215701775521</v>
      </c>
      <c r="E31" s="6">
        <f t="shared" si="3"/>
        <v>515.85195278445678</v>
      </c>
      <c r="F31" s="6">
        <f t="shared" si="4"/>
        <v>5912.0969547189825</v>
      </c>
      <c r="G31" s="6">
        <f t="shared" si="5"/>
        <v>769.80745393050051</v>
      </c>
      <c r="H31" s="6">
        <f t="shared" si="6"/>
        <v>59.413278540810403</v>
      </c>
      <c r="I31" s="6">
        <f t="shared" si="7"/>
        <v>16.631813678767426</v>
      </c>
    </row>
    <row r="32" spans="1:9">
      <c r="A32" s="6">
        <f>6/30*B22</f>
        <v>0.39259259259259277</v>
      </c>
      <c r="B32" s="6">
        <f t="shared" si="0"/>
        <v>1.5703703703703709</v>
      </c>
      <c r="C32" s="6">
        <f t="shared" si="1"/>
        <v>339.9551756793465</v>
      </c>
      <c r="D32" s="6">
        <f t="shared" si="2"/>
        <v>423.13283734653987</v>
      </c>
      <c r="E32" s="6">
        <f t="shared" si="3"/>
        <v>516.38270814393525</v>
      </c>
      <c r="F32" s="6">
        <f t="shared" si="4"/>
        <v>5297.3146968802048</v>
      </c>
      <c r="G32" s="6">
        <f t="shared" si="5"/>
        <v>810.7478214726226</v>
      </c>
      <c r="H32" s="6">
        <f t="shared" si="6"/>
        <v>55.309515490870297</v>
      </c>
      <c r="I32" s="6">
        <f t="shared" si="7"/>
        <v>17.471366867529159</v>
      </c>
    </row>
    <row r="33" spans="1:9">
      <c r="A33" s="6">
        <f>7/30*B22</f>
        <v>0.45802469135802487</v>
      </c>
      <c r="B33" s="6">
        <f t="shared" si="0"/>
        <v>1.5049382716049389</v>
      </c>
      <c r="C33" s="6">
        <f t="shared" si="1"/>
        <v>349.204216468982</v>
      </c>
      <c r="D33" s="6">
        <f t="shared" si="2"/>
        <v>420.57926048141218</v>
      </c>
      <c r="E33" s="6">
        <f t="shared" si="3"/>
        <v>516.90880962036192</v>
      </c>
      <c r="F33" s="6">
        <f t="shared" si="4"/>
        <v>4856.8339569226964</v>
      </c>
      <c r="G33" s="6">
        <f t="shared" si="5"/>
        <v>855.80608728256902</v>
      </c>
      <c r="H33" s="6">
        <f t="shared" si="6"/>
        <v>52.166924360772349</v>
      </c>
      <c r="I33" s="6">
        <f t="shared" si="7"/>
        <v>18.390395739886177</v>
      </c>
    </row>
    <row r="34" spans="1:9">
      <c r="A34" s="6">
        <f>8/30*B22</f>
        <v>0.52345679012345703</v>
      </c>
      <c r="B34" s="6">
        <f t="shared" si="0"/>
        <v>1.4395061728395067</v>
      </c>
      <c r="C34" s="6">
        <f t="shared" si="1"/>
        <v>357.21610002645332</v>
      </c>
      <c r="D34" s="6">
        <f t="shared" si="2"/>
        <v>417.91215472716215</v>
      </c>
      <c r="E34" s="6">
        <f t="shared" si="3"/>
        <v>517.43033811919042</v>
      </c>
      <c r="F34" s="6">
        <f t="shared" si="4"/>
        <v>4531.1047021709437</v>
      </c>
      <c r="G34" s="6">
        <f t="shared" si="5"/>
        <v>905.56704742406123</v>
      </c>
      <c r="H34" s="6">
        <f t="shared" si="6"/>
        <v>49.724398971257621</v>
      </c>
      <c r="I34" s="6">
        <f t="shared" si="7"/>
        <v>19.399343704192074</v>
      </c>
    </row>
    <row r="35" spans="1:9">
      <c r="A35" s="6">
        <f>9/30*B22</f>
        <v>0.58888888888888913</v>
      </c>
      <c r="B35" s="6">
        <f t="shared" si="0"/>
        <v>1.3740740740740747</v>
      </c>
      <c r="C35" s="6">
        <f t="shared" si="1"/>
        <v>364.28308216583639</v>
      </c>
      <c r="D35" s="6">
        <f t="shared" si="2"/>
        <v>415.12095378906861</v>
      </c>
      <c r="E35" s="6">
        <f t="shared" si="3"/>
        <v>517.94737245428985</v>
      </c>
      <c r="F35" s="6">
        <f t="shared" si="4"/>
        <v>4286.0341175211906</v>
      </c>
      <c r="G35" s="6">
        <f t="shared" si="5"/>
        <v>960.72642007115201</v>
      </c>
      <c r="H35" s="6">
        <f t="shared" si="6"/>
        <v>47.815662020015274</v>
      </c>
      <c r="I35" s="6">
        <f t="shared" si="7"/>
        <v>20.510459407602365</v>
      </c>
    </row>
    <row r="36" spans="1:9">
      <c r="A36" s="6">
        <f>10/30*B22</f>
        <v>0.65432098765432123</v>
      </c>
      <c r="B36" s="6">
        <f t="shared" si="0"/>
        <v>1.3086419753086425</v>
      </c>
      <c r="C36" s="6">
        <f t="shared" si="1"/>
        <v>370.6047131053059</v>
      </c>
      <c r="D36" s="6">
        <f t="shared" si="2"/>
        <v>412.19354393890268</v>
      </c>
      <c r="E36" s="6">
        <f t="shared" si="3"/>
        <v>518.45998941942582</v>
      </c>
      <c r="F36" s="6">
        <f t="shared" si="4"/>
        <v>4100.8079206457296</v>
      </c>
      <c r="G36" s="6">
        <f t="shared" si="5"/>
        <v>1022.1179397155438</v>
      </c>
      <c r="H36" s="6">
        <f t="shared" si="6"/>
        <v>46.33044836077535</v>
      </c>
      <c r="I36" s="6">
        <f t="shared" si="7"/>
        <v>21.738193643254181</v>
      </c>
    </row>
    <row r="37" spans="1:9">
      <c r="A37" s="6">
        <f>11/30*B22</f>
        <v>0.71975308641975333</v>
      </c>
      <c r="B37" s="6">
        <f t="shared" si="0"/>
        <v>1.2432098765432102</v>
      </c>
      <c r="C37" s="6">
        <f t="shared" si="1"/>
        <v>376.32332389356543</v>
      </c>
      <c r="D37" s="6">
        <f t="shared" si="2"/>
        <v>409.11594627564966</v>
      </c>
      <c r="E37" s="6">
        <f t="shared" si="3"/>
        <v>518.96826385671272</v>
      </c>
      <c r="F37" s="6">
        <f t="shared" si="4"/>
        <v>3962.1569929721963</v>
      </c>
      <c r="G37" s="6">
        <f t="shared" si="5"/>
        <v>1090.7487473197634</v>
      </c>
      <c r="H37" s="6">
        <f t="shared" si="6"/>
        <v>45.193759648598224</v>
      </c>
      <c r="I37" s="6">
        <f t="shared" si="7"/>
        <v>23.099704601935734</v>
      </c>
    </row>
    <row r="38" spans="1:9">
      <c r="A38" s="6">
        <f>12/30*B22</f>
        <v>0.78518518518518554</v>
      </c>
      <c r="B38" s="6">
        <f t="shared" si="0"/>
        <v>1.177777777777778</v>
      </c>
      <c r="C38" s="6">
        <f t="shared" si="1"/>
        <v>381.54400651294321</v>
      </c>
      <c r="D38" s="6">
        <f t="shared" si="2"/>
        <v>405.87191299943311</v>
      </c>
      <c r="E38" s="6">
        <f t="shared" si="3"/>
        <v>519.47226872219164</v>
      </c>
      <c r="F38" s="6">
        <f t="shared" si="4"/>
        <v>3861.4180240231753</v>
      </c>
      <c r="G38" s="6">
        <f t="shared" si="5"/>
        <v>1167.8461967738835</v>
      </c>
      <c r="H38" s="6">
        <f t="shared" si="6"/>
        <v>44.354094567890343</v>
      </c>
      <c r="I38" s="6">
        <f t="shared" si="7"/>
        <v>24.615507540235463</v>
      </c>
    </row>
    <row r="39" spans="1:9">
      <c r="A39" s="6">
        <f>13/30*B22</f>
        <v>0.85061728395061764</v>
      </c>
      <c r="B39" s="6">
        <f t="shared" si="0"/>
        <v>1.112345679012346</v>
      </c>
      <c r="C39" s="6">
        <f t="shared" si="1"/>
        <v>386.34656897335543</v>
      </c>
      <c r="D39" s="6">
        <f t="shared" si="2"/>
        <v>402.44240816903613</v>
      </c>
      <c r="E39" s="6">
        <f t="shared" si="3"/>
        <v>519.97207514867648</v>
      </c>
      <c r="F39" s="6">
        <f t="shared" si="4"/>
        <v>3792.9325988843884</v>
      </c>
      <c r="G39" s="6">
        <f t="shared" si="5"/>
        <v>1254.9206178659144</v>
      </c>
      <c r="H39" s="6">
        <f t="shared" si="6"/>
        <v>43.776496369657522</v>
      </c>
      <c r="I39" s="6">
        <f t="shared" si="7"/>
        <v>26.310319389255842</v>
      </c>
    </row>
    <row r="40" spans="1:9">
      <c r="A40" s="6">
        <f>14/30*B22</f>
        <v>0.91604938271604974</v>
      </c>
      <c r="B40" s="6">
        <f t="shared" si="0"/>
        <v>1.0469135802469141</v>
      </c>
      <c r="C40" s="6">
        <f t="shared" si="1"/>
        <v>390.79304730257871</v>
      </c>
      <c r="D40" s="6">
        <f t="shared" si="2"/>
        <v>398.80493086005009</v>
      </c>
      <c r="E40" s="6">
        <f t="shared" si="3"/>
        <v>520.46775250600456</v>
      </c>
      <c r="F40" s="6">
        <f t="shared" si="4"/>
        <v>3753.144165777192</v>
      </c>
      <c r="G40" s="6">
        <f t="shared" si="5"/>
        <v>1353.8507685156289</v>
      </c>
      <c r="H40" s="6">
        <f t="shared" si="6"/>
        <v>43.438372438576742</v>
      </c>
      <c r="I40" s="6">
        <f t="shared" si="7"/>
        <v>28.214170176590748</v>
      </c>
    </row>
    <row r="41" spans="1:9">
      <c r="A41" s="6">
        <f>15/30*B22</f>
        <v>0.98148148148148184</v>
      </c>
      <c r="B41" s="6">
        <f t="shared" si="0"/>
        <v>0.98148148148148184</v>
      </c>
      <c r="C41" s="6">
        <f t="shared" si="1"/>
        <v>394.9326195917958</v>
      </c>
      <c r="D41" s="6">
        <f t="shared" si="2"/>
        <v>394.9326195917958</v>
      </c>
      <c r="E41" s="6">
        <f t="shared" si="3"/>
        <v>520.95936845881783</v>
      </c>
      <c r="F41" s="6">
        <f t="shared" si="4"/>
        <v>3740.0905045605937</v>
      </c>
      <c r="G41" s="6">
        <f t="shared" si="5"/>
        <v>1467.0021729774789</v>
      </c>
      <c r="H41" s="6">
        <f t="shared" si="6"/>
        <v>43.327029587105578</v>
      </c>
      <c r="I41" s="6">
        <f t="shared" si="7"/>
        <v>30.363885269098212</v>
      </c>
    </row>
    <row r="42" spans="1:9">
      <c r="A42" s="6">
        <f>16/30*B22</f>
        <v>1.0469135802469141</v>
      </c>
      <c r="B42" s="6">
        <f t="shared" si="0"/>
        <v>0.91604938271604963</v>
      </c>
      <c r="C42" s="6">
        <f t="shared" si="1"/>
        <v>398.80493086005009</v>
      </c>
      <c r="D42" s="6">
        <f t="shared" si="2"/>
        <v>390.79304730257871</v>
      </c>
      <c r="E42" s="6">
        <f t="shared" si="3"/>
        <v>521.44698902199741</v>
      </c>
      <c r="F42" s="6">
        <f t="shared" si="4"/>
        <v>3753.1441657771925</v>
      </c>
      <c r="G42" s="6">
        <f t="shared" si="5"/>
        <v>1597.3941564387646</v>
      </c>
      <c r="H42" s="6">
        <f t="shared" si="6"/>
        <v>43.438372438576742</v>
      </c>
      <c r="I42" s="6">
        <f t="shared" si="7"/>
        <v>32.805091833381198</v>
      </c>
    </row>
    <row r="43" spans="1:9">
      <c r="A43" s="6">
        <f>17/30*B22</f>
        <v>1.112345679012346</v>
      </c>
      <c r="B43" s="6">
        <f t="shared" si="0"/>
        <v>0.85061728395061764</v>
      </c>
      <c r="C43" s="6">
        <f t="shared" si="1"/>
        <v>402.44240816903613</v>
      </c>
      <c r="D43" s="6">
        <f t="shared" si="2"/>
        <v>386.34656897335543</v>
      </c>
      <c r="E43" s="6">
        <f t="shared" si="3"/>
        <v>521.93067861386214</v>
      </c>
      <c r="F43" s="6">
        <f t="shared" si="4"/>
        <v>3792.9325988843884</v>
      </c>
      <c r="G43" s="6">
        <f t="shared" si="5"/>
        <v>1748.9407474951154</v>
      </c>
      <c r="H43" s="6">
        <f t="shared" si="6"/>
        <v>43.776496369657522</v>
      </c>
      <c r="I43" s="6">
        <f t="shared" si="7"/>
        <v>35.594980603907466</v>
      </c>
    </row>
    <row r="44" spans="1:9">
      <c r="A44" s="6">
        <f>18/30*B22</f>
        <v>1.1777777777777783</v>
      </c>
      <c r="B44" s="6">
        <f t="shared" si="0"/>
        <v>0.78518518518518543</v>
      </c>
      <c r="C44" s="6">
        <f t="shared" si="1"/>
        <v>405.87191299943311</v>
      </c>
      <c r="D44" s="6">
        <f t="shared" si="2"/>
        <v>381.54400651294321</v>
      </c>
      <c r="E44" s="6">
        <f t="shared" si="3"/>
        <v>522.41050010724121</v>
      </c>
      <c r="F44" s="6">
        <f t="shared" si="4"/>
        <v>3861.4180240231753</v>
      </c>
      <c r="G44" s="6">
        <f t="shared" si="5"/>
        <v>1926.8067413621993</v>
      </c>
      <c r="H44" s="6">
        <f t="shared" si="6"/>
        <v>44.354094567890343</v>
      </c>
      <c r="I44" s="6">
        <f t="shared" si="7"/>
        <v>38.806179494902949</v>
      </c>
    </row>
    <row r="45" spans="1:9">
      <c r="A45" s="6">
        <f>19/30*B22</f>
        <v>1.2432098765432102</v>
      </c>
      <c r="B45" s="6">
        <f t="shared" si="0"/>
        <v>0.71975308641975344</v>
      </c>
      <c r="C45" s="6">
        <f t="shared" si="1"/>
        <v>409.11594627564966</v>
      </c>
      <c r="D45" s="6">
        <f t="shared" si="2"/>
        <v>376.32332389356549</v>
      </c>
      <c r="E45" s="6">
        <f t="shared" si="3"/>
        <v>522.88651487852019</v>
      </c>
      <c r="F45" s="6">
        <f t="shared" si="4"/>
        <v>3962.1569929721954</v>
      </c>
      <c r="G45" s="6">
        <f t="shared" si="5"/>
        <v>2137.9490193615102</v>
      </c>
      <c r="H45" s="6">
        <f t="shared" si="6"/>
        <v>45.193759648598217</v>
      </c>
      <c r="I45" s="6">
        <f t="shared" si="7"/>
        <v>42.532304208275782</v>
      </c>
    </row>
    <row r="46" spans="1:9">
      <c r="A46" s="6">
        <f>20/30*B22</f>
        <v>1.3086419753086425</v>
      </c>
      <c r="B46" s="6">
        <f t="shared" si="0"/>
        <v>0.65432098765432123</v>
      </c>
      <c r="C46" s="6">
        <f t="shared" si="1"/>
        <v>412.19354393890268</v>
      </c>
      <c r="D46" s="6">
        <f t="shared" si="2"/>
        <v>370.6047131053059</v>
      </c>
      <c r="E46" s="6">
        <f t="shared" si="3"/>
        <v>523.35878285475644</v>
      </c>
      <c r="F46" s="6">
        <f t="shared" si="4"/>
        <v>4100.8079206457296</v>
      </c>
      <c r="G46" s="6">
        <f t="shared" si="5"/>
        <v>2391.966900893729</v>
      </c>
      <c r="H46" s="6">
        <f t="shared" si="6"/>
        <v>46.33044836077535</v>
      </c>
      <c r="I46" s="6">
        <f t="shared" si="7"/>
        <v>46.896109803024693</v>
      </c>
    </row>
    <row r="47" spans="1:9">
      <c r="A47" s="6">
        <f>21/30*B22</f>
        <v>1.3740740740740744</v>
      </c>
      <c r="B47" s="6">
        <f t="shared" si="0"/>
        <v>0.58888888888888924</v>
      </c>
      <c r="C47" s="6">
        <f t="shared" si="1"/>
        <v>415.12095378906861</v>
      </c>
      <c r="D47" s="6">
        <f t="shared" si="2"/>
        <v>364.28308216583639</v>
      </c>
      <c r="E47" s="6">
        <f t="shared" si="3"/>
        <v>523.82736255895588</v>
      </c>
      <c r="F47" s="6">
        <f t="shared" si="4"/>
        <v>4286.0341175211897</v>
      </c>
      <c r="G47" s="6">
        <f t="shared" si="5"/>
        <v>2702.4903949405357</v>
      </c>
      <c r="H47" s="6">
        <f t="shared" si="6"/>
        <v>47.815662020015267</v>
      </c>
      <c r="I47" s="6">
        <f t="shared" si="7"/>
        <v>52.061808801786704</v>
      </c>
    </row>
    <row r="48" spans="1:9">
      <c r="A48" s="6">
        <f>22/30*B22</f>
        <v>1.4395061728395067</v>
      </c>
      <c r="B48" s="6">
        <f t="shared" si="0"/>
        <v>0.52345679012345703</v>
      </c>
      <c r="C48" s="6">
        <f t="shared" si="1"/>
        <v>417.91215472716215</v>
      </c>
      <c r="D48" s="6">
        <f t="shared" si="2"/>
        <v>357.21610002645332</v>
      </c>
      <c r="E48" s="6">
        <f t="shared" si="3"/>
        <v>524.29231115359414</v>
      </c>
      <c r="F48" s="6">
        <f t="shared" si="4"/>
        <v>4531.1047021709437</v>
      </c>
      <c r="G48" s="6">
        <f t="shared" si="5"/>
        <v>3089.5532498612492</v>
      </c>
      <c r="H48" s="6">
        <f t="shared" si="6"/>
        <v>49.724398971257621</v>
      </c>
      <c r="I48" s="6">
        <f t="shared" si="7"/>
        <v>58.254322031722566</v>
      </c>
    </row>
    <row r="49" spans="1:9">
      <c r="A49" s="6">
        <f>23/30*B22</f>
        <v>1.5049382716049389</v>
      </c>
      <c r="B49" s="6">
        <f t="shared" si="0"/>
        <v>0.45802469135802482</v>
      </c>
      <c r="C49" s="6">
        <f t="shared" si="1"/>
        <v>420.57926048141218</v>
      </c>
      <c r="D49" s="6">
        <f t="shared" si="2"/>
        <v>349.204216468982</v>
      </c>
      <c r="E49" s="6">
        <f t="shared" si="3"/>
        <v>524.75368448246456</v>
      </c>
      <c r="F49" s="6">
        <f t="shared" si="4"/>
        <v>4856.8339569226973</v>
      </c>
      <c r="G49" s="6">
        <f t="shared" si="5"/>
        <v>3583.8826855440284</v>
      </c>
      <c r="H49" s="6">
        <f t="shared" si="6"/>
        <v>52.166924360772349</v>
      </c>
      <c r="I49" s="6">
        <f t="shared" si="7"/>
        <v>65.790599591987799</v>
      </c>
    </row>
    <row r="50" spans="1:9">
      <c r="A50" s="6">
        <f>24*B22/30</f>
        <v>1.5703703703703709</v>
      </c>
      <c r="B50" s="6">
        <f t="shared" si="0"/>
        <v>0.39259259259259283</v>
      </c>
      <c r="C50" s="6">
        <f t="shared" si="1"/>
        <v>423.13283734653987</v>
      </c>
      <c r="D50" s="6">
        <f t="shared" si="2"/>
        <v>339.9551756793465</v>
      </c>
      <c r="E50" s="6">
        <f t="shared" si="3"/>
        <v>525.21153711093052</v>
      </c>
      <c r="F50" s="6">
        <f t="shared" si="4"/>
        <v>5297.3146968802039</v>
      </c>
      <c r="G50" s="6">
        <f t="shared" si="5"/>
        <v>4235.2126604289433</v>
      </c>
      <c r="H50" s="6">
        <f t="shared" si="6"/>
        <v>55.309515490870297</v>
      </c>
      <c r="I50" s="6">
        <f t="shared" si="7"/>
        <v>75.133148434442731</v>
      </c>
    </row>
    <row r="51" spans="1:9">
      <c r="A51" s="6">
        <f>25/30*B22</f>
        <v>1.6358024691358031</v>
      </c>
      <c r="B51" s="6">
        <f t="shared" si="0"/>
        <v>0.32716049382716061</v>
      </c>
      <c r="C51" s="6">
        <f t="shared" si="1"/>
        <v>425.58215701775521</v>
      </c>
      <c r="D51" s="6">
        <f t="shared" si="2"/>
        <v>329.01588227170919</v>
      </c>
      <c r="E51" s="6">
        <f t="shared" si="3"/>
        <v>525.6659223646526</v>
      </c>
      <c r="F51" s="6">
        <f t="shared" si="4"/>
        <v>5912.0969547189825</v>
      </c>
      <c r="G51" s="6">
        <f t="shared" si="5"/>
        <v>5129.8975537810838</v>
      </c>
      <c r="H51" s="6">
        <f t="shared" si="6"/>
        <v>59.413278540810403</v>
      </c>
      <c r="I51" s="6">
        <f t="shared" si="7"/>
        <v>86.987332859033828</v>
      </c>
    </row>
    <row r="52" spans="1:9">
      <c r="A52" s="6">
        <f>26*B22/30</f>
        <v>1.7012345679012351</v>
      </c>
      <c r="B52" s="6">
        <f t="shared" si="0"/>
        <v>0.26172839506172862</v>
      </c>
      <c r="C52" s="6">
        <f t="shared" si="1"/>
        <v>427.93539980695209</v>
      </c>
      <c r="D52" s="6">
        <f t="shared" si="2"/>
        <v>315.62726919285666</v>
      </c>
      <c r="E52" s="6">
        <f t="shared" si="3"/>
        <v>526.11689236686038</v>
      </c>
      <c r="F52" s="6">
        <f t="shared" si="4"/>
        <v>6815.2807101517519</v>
      </c>
      <c r="G52" s="6">
        <f t="shared" si="5"/>
        <v>6432.9491167194683</v>
      </c>
      <c r="H52" s="6">
        <f t="shared" si="6"/>
        <v>64.913003133757655</v>
      </c>
      <c r="I52" s="6">
        <f t="shared" si="7"/>
        <v>102.49301863275733</v>
      </c>
    </row>
    <row r="53" spans="1:9">
      <c r="A53" s="6">
        <f>27*B22/30</f>
        <v>1.7666666666666673</v>
      </c>
      <c r="B53" s="6">
        <f t="shared" si="0"/>
        <v>0.19629629629629641</v>
      </c>
      <c r="C53" s="6">
        <f t="shared" si="1"/>
        <v>430.19981948592294</v>
      </c>
      <c r="D53" s="6">
        <f t="shared" si="2"/>
        <v>298.36634484574984</v>
      </c>
      <c r="E53" s="6">
        <f t="shared" si="3"/>
        <v>526.56449807423417</v>
      </c>
      <c r="F53" s="6">
        <f t="shared" si="4"/>
        <v>8257.7152763591257</v>
      </c>
      <c r="G53" s="6">
        <f t="shared" si="5"/>
        <v>8506.7738228509552</v>
      </c>
      <c r="H53" s="6">
        <f t="shared" si="6"/>
        <v>72.596813318982797</v>
      </c>
      <c r="I53" s="6">
        <f t="shared" si="7"/>
        <v>123.64586466899929</v>
      </c>
    </row>
    <row r="54" spans="1:9">
      <c r="A54" s="6">
        <f>28*B22/30</f>
        <v>1.8320987654320995</v>
      </c>
      <c r="B54" s="6">
        <f t="shared" si="0"/>
        <v>0.1308641975308642</v>
      </c>
      <c r="C54" s="6">
        <f t="shared" si="1"/>
        <v>432.38187813617543</v>
      </c>
      <c r="D54" s="6">
        <f t="shared" si="2"/>
        <v>274.03843835925989</v>
      </c>
      <c r="E54" s="6">
        <f t="shared" si="3"/>
        <v>527.00878931145803</v>
      </c>
      <c r="F54" s="6">
        <f t="shared" si="4"/>
        <v>10928.818360909541</v>
      </c>
      <c r="G54" s="6">
        <f t="shared" si="5"/>
        <v>12347.11849429713</v>
      </c>
      <c r="H54" s="6">
        <f t="shared" si="6"/>
        <v>84.091651933308825</v>
      </c>
      <c r="I54" s="6">
        <f t="shared" si="7"/>
        <v>154.38770793384512</v>
      </c>
    </row>
    <row r="55" spans="1:9">
      <c r="A55" s="6">
        <f>29*B22/30</f>
        <v>1.8975308641975315</v>
      </c>
      <c r="B55" s="6">
        <f t="shared" si="0"/>
        <v>6.5432098765432212E-2</v>
      </c>
      <c r="C55" s="6">
        <f t="shared" si="1"/>
        <v>434.48735732485164</v>
      </c>
      <c r="D55" s="6">
        <f t="shared" si="2"/>
        <v>232.44960752566328</v>
      </c>
      <c r="E55" s="6">
        <f t="shared" si="3"/>
        <v>527.44981480450349</v>
      </c>
      <c r="F55" s="6">
        <f t="shared" si="4"/>
        <v>17772.468315612634</v>
      </c>
      <c r="G55" s="6">
        <f t="shared" si="5"/>
        <v>22205.894768652528</v>
      </c>
      <c r="H55" s="6">
        <f t="shared" si="6"/>
        <v>103.62402843757963</v>
      </c>
      <c r="I55" s="6">
        <f t="shared" si="7"/>
        <v>204.35487482611498</v>
      </c>
    </row>
    <row r="89" spans="1:6">
      <c r="A89" t="s">
        <v>30</v>
      </c>
    </row>
    <row r="90" spans="1:6" ht="13.5" thickBot="1"/>
    <row r="91" spans="1:6" ht="13.5" thickBot="1">
      <c r="A91" t="s">
        <v>31</v>
      </c>
      <c r="B91" s="3">
        <v>1</v>
      </c>
      <c r="C91" t="s">
        <v>5</v>
      </c>
      <c r="D91" t="s">
        <v>32</v>
      </c>
      <c r="E91" s="3">
        <v>1.5</v>
      </c>
      <c r="F91" t="s">
        <v>5</v>
      </c>
    </row>
    <row r="92" spans="1:6">
      <c r="A92" t="s">
        <v>33</v>
      </c>
      <c r="B92">
        <f>E91-B91</f>
        <v>0.5</v>
      </c>
      <c r="C92" t="s">
        <v>5</v>
      </c>
    </row>
    <row r="94" spans="1:6">
      <c r="A94" t="s">
        <v>41</v>
      </c>
    </row>
    <row r="95" spans="1:6">
      <c r="A95" t="s">
        <v>40</v>
      </c>
    </row>
    <row r="97" spans="1:9">
      <c r="A97" t="s">
        <v>19</v>
      </c>
      <c r="B97" t="s">
        <v>20</v>
      </c>
      <c r="C97" t="s">
        <v>21</v>
      </c>
      <c r="D97" t="s">
        <v>22</v>
      </c>
      <c r="E97" t="s">
        <v>23</v>
      </c>
      <c r="F97" t="s">
        <v>24</v>
      </c>
      <c r="G97" t="s">
        <v>25</v>
      </c>
      <c r="H97" t="s">
        <v>26</v>
      </c>
      <c r="I97" t="s">
        <v>27</v>
      </c>
    </row>
    <row r="98" spans="1:9">
      <c r="A98">
        <f>1*B91</f>
        <v>1</v>
      </c>
      <c r="B98" s="6">
        <f>$B$22-A98</f>
        <v>0.96296296296296369</v>
      </c>
      <c r="C98" s="6">
        <f>60*(LN(4*A98/$D$11)-1)</f>
        <v>396.05414757252493</v>
      </c>
      <c r="D98" s="6">
        <f>60*(LN(4*B98/$D$11)-1)</f>
        <v>393.78972789355413</v>
      </c>
      <c r="E98" s="6">
        <f>60*(LN(4*($B$21+A98)/$D$11)-1)</f>
        <v>521.09777682469269</v>
      </c>
      <c r="F98" s="6">
        <f>C98/(TAN(2*PI()*A98/$B$17))+D98/(TAN(2*PI()*B98/$B$17))</f>
        <v>3741.1323076113908</v>
      </c>
      <c r="G98" s="6">
        <f>D98/(TAN(2*PI()*B98/$B$16))-E98*TAN(2*PI()*($B$21+A98)/$B$16)</f>
        <v>1502.0056601518991</v>
      </c>
      <c r="H98" s="6">
        <f t="shared" ref="H98:H108" si="8">F98/(2*PI()*$B$10)*(1/(1+2*PI()*$B$10*10^6*$B$13*10^-12*F98))</f>
        <v>43.335923283820101</v>
      </c>
      <c r="I98" s="6">
        <f t="shared" ref="I98:I108" si="9">G98/(2*PI()*$B$9)*(1/(1+2*PI()*$B$9*10^6*$B$13*10^-12*G98))</f>
        <v>31.022979825310252</v>
      </c>
    </row>
    <row r="99" spans="1:9">
      <c r="A99">
        <f>A98+0.1*$B$92</f>
        <v>1.05</v>
      </c>
      <c r="B99" s="6">
        <f t="shared" ref="B99:B108" si="10">$B$22-A99</f>
        <v>0.91296296296296364</v>
      </c>
      <c r="C99" s="6">
        <f t="shared" ref="C99:C108" si="11">60*(LN(4*A99/$D$11)-1)</f>
        <v>398.98155742269086</v>
      </c>
      <c r="D99" s="6">
        <f t="shared" ref="D99:D108" si="12">60*(LN(4*B99/$D$11)-1)</f>
        <v>390.59054964158719</v>
      </c>
      <c r="E99" s="6">
        <f t="shared" ref="E99:E108" si="13">60*(LN(4*($B$21+A99)/$D$11)-1)</f>
        <v>521.46989240815935</v>
      </c>
      <c r="F99" s="6">
        <f t="shared" ref="F99:F108" si="14">C99/(TAN(2*PI()*A99/$B$17))+D99/(TAN(2*PI()*B99/$B$17))</f>
        <v>3754.4101582559874</v>
      </c>
      <c r="G99" s="6">
        <f t="shared" ref="G99:G108" si="15">D99/(TAN(2*PI()*B99/$B$16))-E99*TAN(2*PI()*($B$21+A99)/$B$16)</f>
        <v>1604.0321376870445</v>
      </c>
      <c r="H99" s="6">
        <f t="shared" si="8"/>
        <v>43.449160017650705</v>
      </c>
      <c r="I99" s="6">
        <f t="shared" si="9"/>
        <v>32.928351217672756</v>
      </c>
    </row>
    <row r="100" spans="1:9">
      <c r="A100">
        <f t="shared" ref="A100:A108" si="16">A99+0.1*$B$92</f>
        <v>1.1000000000000001</v>
      </c>
      <c r="B100" s="6">
        <f t="shared" si="10"/>
        <v>0.8629629629629636</v>
      </c>
      <c r="C100" s="6">
        <f t="shared" si="11"/>
        <v>401.77275836078439</v>
      </c>
      <c r="D100" s="6">
        <f t="shared" si="12"/>
        <v>387.21113724656453</v>
      </c>
      <c r="E100" s="6">
        <f t="shared" si="13"/>
        <v>521.83971437569903</v>
      </c>
      <c r="F100" s="6">
        <f t="shared" si="14"/>
        <v>3783.3081561854424</v>
      </c>
      <c r="G100" s="6">
        <f t="shared" si="15"/>
        <v>1718.5098944443635</v>
      </c>
      <c r="H100" s="6">
        <f t="shared" si="8"/>
        <v>43.694880388786814</v>
      </c>
      <c r="I100" s="6">
        <f t="shared" si="9"/>
        <v>35.038791143372229</v>
      </c>
    </row>
    <row r="101" spans="1:9">
      <c r="A101">
        <f t="shared" si="16"/>
        <v>1.1500000000000001</v>
      </c>
      <c r="B101" s="6">
        <f t="shared" si="10"/>
        <v>0.81296296296296355</v>
      </c>
      <c r="C101" s="6">
        <f t="shared" si="11"/>
        <v>404.43986411503448</v>
      </c>
      <c r="D101" s="6">
        <f t="shared" si="12"/>
        <v>383.62996398353607</v>
      </c>
      <c r="E101" s="6">
        <f t="shared" si="13"/>
        <v>522.20727082860026</v>
      </c>
      <c r="F101" s="6">
        <f t="shared" si="14"/>
        <v>3828.6514442048278</v>
      </c>
      <c r="G101" s="6">
        <f t="shared" si="15"/>
        <v>1847.685418611168</v>
      </c>
      <c r="H101" s="6">
        <f t="shared" si="8"/>
        <v>44.078434889019455</v>
      </c>
      <c r="I101" s="6">
        <f t="shared" si="9"/>
        <v>37.386025553299163</v>
      </c>
    </row>
    <row r="102" spans="1:9">
      <c r="A102">
        <f t="shared" si="16"/>
        <v>1.2000000000000002</v>
      </c>
      <c r="B102" s="6">
        <f t="shared" si="10"/>
        <v>0.76296296296296351</v>
      </c>
      <c r="C102" s="6">
        <f t="shared" si="11"/>
        <v>406.99344098016223</v>
      </c>
      <c r="D102" s="6">
        <f t="shared" si="12"/>
        <v>379.82140015999738</v>
      </c>
      <c r="E102" s="6">
        <f t="shared" si="13"/>
        <v>522.57258935485083</v>
      </c>
      <c r="F102" s="6">
        <f t="shared" si="14"/>
        <v>3891.7813567306484</v>
      </c>
      <c r="G102" s="6">
        <f t="shared" si="15"/>
        <v>1994.3686347848295</v>
      </c>
      <c r="H102" s="6">
        <f t="shared" si="8"/>
        <v>44.608414024500519</v>
      </c>
      <c r="I102" s="6">
        <f t="shared" si="9"/>
        <v>40.008468630510023</v>
      </c>
    </row>
    <row r="103" spans="1:9">
      <c r="A103">
        <f t="shared" si="16"/>
        <v>1.2500000000000002</v>
      </c>
      <c r="B103" s="6">
        <f t="shared" si="10"/>
        <v>0.71296296296296346</v>
      </c>
      <c r="C103" s="6">
        <f t="shared" si="11"/>
        <v>409.44276065137751</v>
      </c>
      <c r="D103" s="6">
        <f t="shared" si="12"/>
        <v>375.75459925629286</v>
      </c>
      <c r="E103" s="6">
        <f t="shared" si="13"/>
        <v>522.93569704156312</v>
      </c>
      <c r="F103" s="6">
        <f t="shared" si="14"/>
        <v>3974.6624611418265</v>
      </c>
      <c r="G103" s="6">
        <f t="shared" si="15"/>
        <v>2162.1210734017677</v>
      </c>
      <c r="H103" s="6">
        <f t="shared" si="8"/>
        <v>45.297176789995923</v>
      </c>
      <c r="I103" s="6">
        <f t="shared" si="9"/>
        <v>42.95307663866366</v>
      </c>
    </row>
    <row r="104" spans="1:9">
      <c r="A104">
        <f t="shared" si="16"/>
        <v>1.3000000000000003</v>
      </c>
      <c r="B104" s="6">
        <f t="shared" si="10"/>
        <v>0.66296296296296342</v>
      </c>
      <c r="C104" s="6">
        <f t="shared" si="11"/>
        <v>411.7960034405744</v>
      </c>
      <c r="D104" s="6">
        <f t="shared" si="12"/>
        <v>371.39197838306779</v>
      </c>
      <c r="E104" s="6">
        <f t="shared" si="13"/>
        <v>523.29662048702642</v>
      </c>
      <c r="F104" s="6">
        <f t="shared" si="14"/>
        <v>4080.0510907046696</v>
      </c>
      <c r="G104" s="6">
        <f t="shared" si="15"/>
        <v>2355.525191886682</v>
      </c>
      <c r="H104" s="6">
        <f t="shared" si="8"/>
        <v>46.161657551147826</v>
      </c>
      <c r="I104" s="6">
        <f t="shared" si="9"/>
        <v>46.277860277633657</v>
      </c>
    </row>
    <row r="105" spans="1:9">
      <c r="A105">
        <f t="shared" si="16"/>
        <v>1.3500000000000003</v>
      </c>
      <c r="B105" s="6">
        <f t="shared" si="10"/>
        <v>0.61296296296296338</v>
      </c>
      <c r="C105" s="6">
        <f t="shared" si="11"/>
        <v>414.06042311954525</v>
      </c>
      <c r="D105" s="6">
        <f t="shared" si="12"/>
        <v>366.68710172164953</v>
      </c>
      <c r="E105" s="6">
        <f t="shared" si="13"/>
        <v>523.65538581239855</v>
      </c>
      <c r="F105" s="6">
        <f t="shared" si="14"/>
        <v>4211.754678699177</v>
      </c>
      <c r="G105" s="6">
        <f t="shared" si="15"/>
        <v>2580.5790870092696</v>
      </c>
      <c r="H105" s="6">
        <f t="shared" si="8"/>
        <v>47.224559363798122</v>
      </c>
      <c r="I105" s="6">
        <f t="shared" si="9"/>
        <v>50.055349765126678</v>
      </c>
    </row>
    <row r="106" spans="1:9">
      <c r="A106">
        <f t="shared" si="16"/>
        <v>1.4000000000000004</v>
      </c>
      <c r="B106" s="6">
        <f t="shared" si="10"/>
        <v>0.56296296296296333</v>
      </c>
      <c r="C106" s="6">
        <f t="shared" si="11"/>
        <v>416.24248176979773</v>
      </c>
      <c r="D106" s="6">
        <f t="shared" si="12"/>
        <v>361.58166128339906</v>
      </c>
      <c r="E106" s="6">
        <f t="shared" si="13"/>
        <v>524.01201867305008</v>
      </c>
      <c r="F106" s="6">
        <f t="shared" si="14"/>
        <v>4375.0323820686326</v>
      </c>
      <c r="G106" s="6">
        <f t="shared" si="15"/>
        <v>2845.2908935709875</v>
      </c>
      <c r="H106" s="6">
        <f t="shared" si="8"/>
        <v>48.516109673775205</v>
      </c>
      <c r="I106" s="6">
        <f t="shared" si="9"/>
        <v>54.377470050338175</v>
      </c>
    </row>
    <row r="107" spans="1:9">
      <c r="A107">
        <f t="shared" si="16"/>
        <v>1.4500000000000004</v>
      </c>
      <c r="B107" s="6">
        <f t="shared" si="10"/>
        <v>0.51296296296296329</v>
      </c>
      <c r="C107" s="6">
        <f t="shared" si="11"/>
        <v>418.34796095847395</v>
      </c>
      <c r="D107" s="6">
        <f t="shared" si="12"/>
        <v>356.00104957026605</v>
      </c>
      <c r="E107" s="6">
        <f t="shared" si="13"/>
        <v>524.36654426957318</v>
      </c>
      <c r="F107" s="6">
        <f t="shared" si="14"/>
        <v>4577.2260200096334</v>
      </c>
      <c r="G107" s="6">
        <f t="shared" si="15"/>
        <v>3160.6024537387902</v>
      </c>
      <c r="H107" s="6">
        <f t="shared" si="8"/>
        <v>50.076668536681048</v>
      </c>
      <c r="I107" s="6">
        <f t="shared" si="9"/>
        <v>59.362558162144005</v>
      </c>
    </row>
    <row r="108" spans="1:9">
      <c r="A108">
        <f t="shared" si="16"/>
        <v>1.5000000000000004</v>
      </c>
      <c r="B108" s="6">
        <f t="shared" si="10"/>
        <v>0.46296296296296324</v>
      </c>
      <c r="C108" s="6">
        <f t="shared" si="11"/>
        <v>420.38205405901488</v>
      </c>
      <c r="D108" s="6">
        <f t="shared" si="12"/>
        <v>349.84765427076059</v>
      </c>
      <c r="E108" s="6">
        <f t="shared" si="13"/>
        <v>524.71898735846742</v>
      </c>
      <c r="F108" s="6">
        <f t="shared" si="14"/>
        <v>4828.7843456017281</v>
      </c>
      <c r="G108" s="6">
        <f t="shared" si="15"/>
        <v>3541.8784505140356</v>
      </c>
      <c r="H108" s="6">
        <f t="shared" si="8"/>
        <v>51.960680635143802</v>
      </c>
      <c r="I108" s="6">
        <f t="shared" si="9"/>
        <v>65.165733924829667</v>
      </c>
    </row>
  </sheetData>
  <sheetProtection password="8781" sheet="1" objects="1" scenarios="1"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Weigl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Weigl</dc:creator>
  <cp:lastModifiedBy>Sedda</cp:lastModifiedBy>
  <dcterms:created xsi:type="dcterms:W3CDTF">2004-09-02T22:11:27Z</dcterms:created>
  <dcterms:modified xsi:type="dcterms:W3CDTF">2007-08-22T16:14:23Z</dcterms:modified>
</cp:coreProperties>
</file>